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G:\15_FV\2019\012 STA_Concessione Noleggio bici+servizi\02 DOC GARA\3. versioni per portale\"/>
    </mc:Choice>
  </mc:AlternateContent>
  <xr:revisionPtr revIDLastSave="0" documentId="13_ncr:1_{7B6C88DA-6D48-4D6A-9996-98F041C87810}" xr6:coauthVersionLast="36" xr6:coauthVersionMax="36" xr10:uidLastSave="{00000000-0000-0000-0000-000000000000}"/>
  <bookViews>
    <workbookView xWindow="0" yWindow="0" windowWidth="25200" windowHeight="1177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1" i="1" l="1"/>
  <c r="G19" i="1"/>
  <c r="D36" i="1"/>
  <c r="D37" i="1"/>
  <c r="D38" i="1"/>
  <c r="F33" i="1"/>
  <c r="F34" i="1"/>
  <c r="F35" i="1" l="1"/>
  <c r="D33" i="1"/>
  <c r="F31" i="1"/>
  <c r="G31" i="1"/>
  <c r="H31" i="1"/>
  <c r="I31" i="1"/>
  <c r="J31" i="1"/>
  <c r="K31" i="1"/>
  <c r="L31" i="1"/>
  <c r="M31" i="1"/>
  <c r="N31" i="1"/>
  <c r="O31" i="1"/>
  <c r="D39" i="1" l="1"/>
  <c r="D40" i="1"/>
  <c r="D34" i="1" l="1"/>
  <c r="G15" i="1" l="1"/>
  <c r="H15" i="1"/>
  <c r="I15" i="1"/>
  <c r="K15" i="1"/>
  <c r="L15" i="1"/>
  <c r="M15" i="1"/>
  <c r="N15" i="1"/>
  <c r="O15" i="1"/>
  <c r="J19" i="1"/>
  <c r="J20" i="1" s="1"/>
  <c r="G16" i="1"/>
  <c r="H16" i="1"/>
  <c r="I16" i="1"/>
  <c r="K16" i="1"/>
  <c r="L16" i="1"/>
  <c r="M16" i="1"/>
  <c r="N16" i="1"/>
  <c r="O16" i="1"/>
  <c r="I19" i="1"/>
  <c r="I20" i="1" s="1"/>
  <c r="D8" i="1"/>
  <c r="J14" i="1"/>
  <c r="D14" i="1" s="1"/>
  <c r="I22" i="1" l="1"/>
  <c r="I23" i="1"/>
  <c r="N19" i="1"/>
  <c r="N20" i="1" s="1"/>
  <c r="N22" i="1" s="1"/>
  <c r="N23" i="1" s="1"/>
  <c r="N24" i="1" s="1"/>
  <c r="M19" i="1"/>
  <c r="M20" i="1" s="1"/>
  <c r="M22" i="1" s="1"/>
  <c r="M23" i="1" s="1"/>
  <c r="M24" i="1" s="1"/>
  <c r="K19" i="1"/>
  <c r="K20" i="1" s="1"/>
  <c r="K22" i="1" s="1"/>
  <c r="H19" i="1"/>
  <c r="H20" i="1" s="1"/>
  <c r="H22" i="1" s="1"/>
  <c r="G20" i="1"/>
  <c r="G22" i="1" s="1"/>
  <c r="G23" i="1" s="1"/>
  <c r="G24" i="1" s="1"/>
  <c r="L19" i="1"/>
  <c r="L20" i="1" s="1"/>
  <c r="L22" i="1" s="1"/>
  <c r="L23" i="1" s="1"/>
  <c r="L24" i="1" s="1"/>
  <c r="O19" i="1"/>
  <c r="O20" i="1" s="1"/>
  <c r="O22" i="1" s="1"/>
  <c r="O23" i="1" s="1"/>
  <c r="O24" i="1" s="1"/>
  <c r="J15" i="1"/>
  <c r="D15" i="1" s="1"/>
  <c r="D31" i="1"/>
  <c r="D35" i="1"/>
  <c r="J16" i="1"/>
  <c r="J22" i="1"/>
  <c r="J23" i="1" s="1"/>
  <c r="J24" i="1" s="1"/>
  <c r="N12" i="1"/>
  <c r="I24" i="1" l="1"/>
  <c r="K23" i="1"/>
  <c r="K24" i="1" s="1"/>
  <c r="D42" i="1"/>
  <c r="D20" i="1"/>
  <c r="H23" i="1"/>
  <c r="H24" i="1" s="1"/>
  <c r="D11" i="1"/>
  <c r="D23" i="1" l="1"/>
  <c r="D43" i="1" s="1"/>
  <c r="E43" i="1" s="1"/>
  <c r="E36" i="1"/>
  <c r="E31" i="1" l="1"/>
  <c r="E42" i="1"/>
  <c r="E35" i="1"/>
  <c r="E23" i="1"/>
  <c r="E33" i="1"/>
  <c r="E34" i="1"/>
  <c r="E41" i="1"/>
  <c r="E40" i="1"/>
  <c r="E39" i="1"/>
  <c r="E37" i="1"/>
  <c r="E38" i="1"/>
</calcChain>
</file>

<file path=xl/sharedStrings.xml><?xml version="1.0" encoding="utf-8"?>
<sst xmlns="http://schemas.openxmlformats.org/spreadsheetml/2006/main" count="89" uniqueCount="70">
  <si>
    <t>Mals</t>
  </si>
  <si>
    <t>Spondinig</t>
  </si>
  <si>
    <t>Schlanders</t>
  </si>
  <si>
    <t>Latsch</t>
  </si>
  <si>
    <t>Meran</t>
  </si>
  <si>
    <t>Bozen</t>
  </si>
  <si>
    <t>Innichen</t>
  </si>
  <si>
    <t>Bruneck</t>
  </si>
  <si>
    <t>Brixen</t>
  </si>
  <si>
    <t>Typ</t>
  </si>
  <si>
    <t>MobZ</t>
  </si>
  <si>
    <t>Touristisch</t>
  </si>
  <si>
    <t>Verleihausprägung</t>
  </si>
  <si>
    <t>Stark</t>
  </si>
  <si>
    <t>Schwach</t>
  </si>
  <si>
    <t>Mittel</t>
  </si>
  <si>
    <t>Monate</t>
  </si>
  <si>
    <t>Umsatz Verleih</t>
  </si>
  <si>
    <t>EUR</t>
  </si>
  <si>
    <t>qm</t>
  </si>
  <si>
    <t>EUR/Monat</t>
  </si>
  <si>
    <t>nur Freifläche</t>
  </si>
  <si>
    <t>Fläche überdacht gesamt</t>
  </si>
  <si>
    <t>Freifläche</t>
  </si>
  <si>
    <t>Notizen</t>
  </si>
  <si>
    <t>Vertrag derzeit Gemeinde BZ</t>
  </si>
  <si>
    <t>Aktivierte Bike-Mobil-Cards 2016</t>
  </si>
  <si>
    <t>Verleihvorgänge pro Jahr</t>
  </si>
  <si>
    <t>Gesamt</t>
  </si>
  <si>
    <t>Kosten</t>
  </si>
  <si>
    <t>Personalkosten</t>
  </si>
  <si>
    <t>VZÄ Hauptsaison</t>
  </si>
  <si>
    <t>VZÄ Nebensaison</t>
  </si>
  <si>
    <t>VZÄ Zwischensaison</t>
  </si>
  <si>
    <t>Stations-unabhängig</t>
  </si>
  <si>
    <t>GESAMTUMSATZ</t>
  </si>
  <si>
    <t>Zukauf Ersatzteile/Materialien</t>
  </si>
  <si>
    <t>Abschreibung Fahrzeuge</t>
  </si>
  <si>
    <t>Betriebskosten (Heizung, Treibstoff, Versicherung, Reparaturen)</t>
  </si>
  <si>
    <t>% Aufschlag</t>
  </si>
  <si>
    <t>Kosten gesamt</t>
  </si>
  <si>
    <t>Verwaltungs-/Vertriebs-/Marketingkosten</t>
  </si>
  <si>
    <t>EUR/Monat/qm</t>
  </si>
  <si>
    <t>EUR/JAHR</t>
  </si>
  <si>
    <t>EUR/JAHR/qm</t>
  </si>
  <si>
    <t>Eckdaten</t>
  </si>
  <si>
    <t>Erlöse</t>
  </si>
  <si>
    <t>Öffnungszeitraum im Jahr</t>
  </si>
  <si>
    <t>% Umsatz</t>
  </si>
  <si>
    <t>Konzessionsgebühr derzeit</t>
  </si>
  <si>
    <t>EUR/Jahr</t>
  </si>
  <si>
    <t>Berechnung Personalkosten:</t>
  </si>
  <si>
    <t>Anzahl</t>
  </si>
  <si>
    <t>Kosten klassische Fahrräder (Kosten/Jahr)</t>
  </si>
  <si>
    <t>Kosten E-Bikes (Kosten/Jahr)</t>
  </si>
  <si>
    <t>Weiterverkauf nach 4 Jahren eingerechnet</t>
  </si>
  <si>
    <t>Weiterverkauf nach 2 Jahren eingerechnet</t>
  </si>
  <si>
    <t>ERGEBNISRECHNUNG</t>
  </si>
  <si>
    <t>Schätzung Erlöse, Kosten und Ergebnis Radverleihe</t>
  </si>
  <si>
    <t>Vertrag vorher mit RFI</t>
  </si>
  <si>
    <t>Pachtkosten</t>
  </si>
  <si>
    <t>je 5.000€</t>
  </si>
  <si>
    <t>Zusatzdienstleistungen Stationen Typ2</t>
  </si>
  <si>
    <t>Zusatzdienstleistungen Stationen Typ1</t>
  </si>
  <si>
    <t>GEWINN</t>
  </si>
  <si>
    <t>je 15.000€</t>
  </si>
  <si>
    <t>9.628,00 € pro Monat</t>
  </si>
  <si>
    <t>% Aufschlag Verleihumsatz</t>
  </si>
  <si>
    <t>Erlöse aus Zusatzleistungen</t>
  </si>
  <si>
    <t>Stück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</si>
</sst>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0.0"/>
    <numFmt numFmtId="165" formatCode="_-* #,##0.0\ &quot;€&quot;_-;\-* #,##0.0\ &quot;€&quot;_-;_-* &quot;-&quot;??\ &quot;€&quot;_-;_-@_-"/>
    <numFmt numFmtId="166" formatCode="_-* #,##0\ &quot;€&quot;_-;\-* #,##0\ &quot;€&quot;_-;_-* &quot;-&quot;??\ &quot;€&quot;_-;_-@_-"/>
    <numFmt numFmtId="167" formatCode="#,##0.0"/>
    <numFmt numFmtId="168" formatCode="0.0%"/>
  </numFmts>
  <fonts count="12">
    <font>
      <sz val="10"/>
      <color theme="1"/>
      <name val="Frutiger 45 Light"/>
      <family val="2"/>
    </font>
    <font>
      <sz val="10"/>
      <color theme="1"/>
      <name val="Frutiger 45 Light"/>
      <family val="2"/>
    </font>
    <font>
      <sz val="10"/>
      <color rgb="FFFF0000"/>
      <name val="Frutiger 45 Light"/>
      <family val="2"/>
    </font>
    <font>
      <b/>
      <sz val="10"/>
      <color theme="1"/>
      <name val="Frutiger 45 Light"/>
      <family val="2"/>
    </font>
    <font>
      <sz val="9"/>
      <color theme="1"/>
      <name val="Frutiger 45 Light"/>
      <family val="2"/>
    </font>
    <font>
      <b/>
      <sz val="9"/>
      <color theme="1"/>
      <name val="Frutiger 45 Light"/>
      <family val="2"/>
    </font>
    <font>
      <i/>
      <sz val="10"/>
      <color theme="1"/>
      <name val="Frutiger 45 Light"/>
      <family val="2"/>
    </font>
    <font>
      <b/>
      <sz val="11"/>
      <color theme="1"/>
      <name val="Frutiger 45 Light"/>
      <family val="2"/>
    </font>
    <font>
      <sz val="9"/>
      <color rgb="FFFF0000"/>
      <name val="Frutiger 45 Light"/>
      <family val="2"/>
    </font>
    <font>
      <b/>
      <sz val="10"/>
      <color rgb="FFFF0000"/>
      <name val="Frutiger 45 Light"/>
      <family val="2"/>
    </font>
    <font>
      <sz val="8"/>
      <color rgb="FFFF0000"/>
      <name val="Frutiger 45 Light"/>
      <family val="2"/>
    </font>
    <font>
      <b/>
      <sz val="14"/>
      <color theme="1"/>
      <name val="Frutiger 45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3" fillId="0" borderId="0" xfId="0" applyFont="1"/>
    <xf numFmtId="3" fontId="0" fillId="0" borderId="0" xfId="0" applyNumberFormat="1"/>
    <xf numFmtId="3" fontId="4" fillId="0" borderId="0" xfId="0" applyNumberFormat="1" applyFont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0" fillId="0" borderId="0" xfId="0" applyBorder="1"/>
    <xf numFmtId="0" fontId="0" fillId="0" borderId="10" xfId="0" applyFill="1" applyBorder="1"/>
    <xf numFmtId="9" fontId="0" fillId="0" borderId="4" xfId="2" applyFont="1" applyBorder="1"/>
    <xf numFmtId="3" fontId="3" fillId="0" borderId="0" xfId="0" applyNumberFormat="1" applyFont="1"/>
    <xf numFmtId="0" fontId="4" fillId="0" borderId="0" xfId="0" applyFont="1"/>
    <xf numFmtId="0" fontId="4" fillId="0" borderId="3" xfId="0" applyFont="1" applyBorder="1"/>
    <xf numFmtId="0" fontId="4" fillId="0" borderId="6" xfId="0" applyFont="1" applyBorder="1"/>
    <xf numFmtId="166" fontId="4" fillId="0" borderId="6" xfId="1" applyNumberFormat="1" applyFont="1" applyBorder="1"/>
    <xf numFmtId="164" fontId="4" fillId="0" borderId="0" xfId="0" applyNumberFormat="1" applyFont="1" applyBorder="1"/>
    <xf numFmtId="0" fontId="4" fillId="0" borderId="0" xfId="0" applyFont="1" applyBorder="1"/>
    <xf numFmtId="164" fontId="4" fillId="0" borderId="6" xfId="0" applyNumberFormat="1" applyFont="1" applyBorder="1"/>
    <xf numFmtId="3" fontId="4" fillId="0" borderId="11" xfId="0" applyNumberFormat="1" applyFont="1" applyBorder="1"/>
    <xf numFmtId="0" fontId="4" fillId="0" borderId="11" xfId="0" applyFont="1" applyFill="1" applyBorder="1"/>
    <xf numFmtId="9" fontId="4" fillId="0" borderId="0" xfId="2" applyFont="1"/>
    <xf numFmtId="0" fontId="3" fillId="0" borderId="5" xfId="0" applyFont="1" applyBorder="1"/>
    <xf numFmtId="0" fontId="5" fillId="0" borderId="6" xfId="0" applyFont="1" applyBorder="1"/>
    <xf numFmtId="0" fontId="3" fillId="0" borderId="6" xfId="0" applyFont="1" applyBorder="1"/>
    <xf numFmtId="0" fontId="3" fillId="0" borderId="2" xfId="0" applyFont="1" applyFill="1" applyBorder="1"/>
    <xf numFmtId="0" fontId="5" fillId="0" borderId="3" xfId="0" applyFont="1" applyBorder="1"/>
    <xf numFmtId="0" fontId="3" fillId="2" borderId="0" xfId="0" applyFont="1" applyFill="1"/>
    <xf numFmtId="0" fontId="4" fillId="2" borderId="0" xfId="0" applyFont="1" applyFill="1"/>
    <xf numFmtId="0" fontId="3" fillId="0" borderId="2" xfId="0" applyFont="1" applyBorder="1" applyAlignment="1">
      <alignment horizontal="center"/>
    </xf>
    <xf numFmtId="0" fontId="3" fillId="2" borderId="8" xfId="0" applyFont="1" applyFill="1" applyBorder="1"/>
    <xf numFmtId="3" fontId="0" fillId="0" borderId="9" xfId="0" applyNumberFormat="1" applyBorder="1"/>
    <xf numFmtId="0" fontId="0" fillId="0" borderId="9" xfId="0" applyBorder="1"/>
    <xf numFmtId="0" fontId="0" fillId="0" borderId="14" xfId="0" applyBorder="1"/>
    <xf numFmtId="0" fontId="0" fillId="0" borderId="13" xfId="0" applyBorder="1"/>
    <xf numFmtId="164" fontId="0" fillId="0" borderId="15" xfId="0" applyNumberFormat="1" applyBorder="1"/>
    <xf numFmtId="3" fontId="0" fillId="0" borderId="14" xfId="0" applyNumberFormat="1" applyBorder="1"/>
    <xf numFmtId="167" fontId="0" fillId="0" borderId="15" xfId="0" applyNumberFormat="1" applyBorder="1"/>
    <xf numFmtId="3" fontId="0" fillId="0" borderId="15" xfId="0" applyNumberFormat="1" applyBorder="1"/>
    <xf numFmtId="3" fontId="3" fillId="0" borderId="13" xfId="0" applyNumberFormat="1" applyFont="1" applyBorder="1"/>
    <xf numFmtId="0" fontId="3" fillId="0" borderId="13" xfId="0" applyFont="1" applyBorder="1" applyAlignment="1">
      <alignment horizontal="center" wrapText="1"/>
    </xf>
    <xf numFmtId="0" fontId="3" fillId="2" borderId="14" xfId="0" applyFont="1" applyFill="1" applyBorder="1" applyAlignment="1">
      <alignment wrapText="1"/>
    </xf>
    <xf numFmtId="9" fontId="0" fillId="0" borderId="13" xfId="2" applyFont="1" applyBorder="1"/>
    <xf numFmtId="3" fontId="3" fillId="0" borderId="15" xfId="0" applyNumberFormat="1" applyFont="1" applyBorder="1"/>
    <xf numFmtId="167" fontId="0" fillId="0" borderId="14" xfId="0" applyNumberFormat="1" applyBorder="1"/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2" borderId="19" xfId="0" applyFont="1" applyFill="1" applyBorder="1"/>
    <xf numFmtId="0" fontId="3" fillId="2" borderId="20" xfId="0" applyFont="1" applyFill="1" applyBorder="1"/>
    <xf numFmtId="0" fontId="3" fillId="2" borderId="21" xfId="0" applyFont="1" applyFill="1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0" borderId="22" xfId="0" applyNumberFormat="1" applyBorder="1"/>
    <xf numFmtId="164" fontId="0" fillId="0" borderId="23" xfId="0" applyNumberFormat="1" applyBorder="1"/>
    <xf numFmtId="164" fontId="0" fillId="0" borderId="24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3" fontId="0" fillId="0" borderId="21" xfId="0" applyNumberFormat="1" applyBorder="1"/>
    <xf numFmtId="167" fontId="0" fillId="0" borderId="22" xfId="0" applyNumberFormat="1" applyBorder="1"/>
    <xf numFmtId="167" fontId="0" fillId="0" borderId="23" xfId="0" applyNumberFormat="1" applyBorder="1"/>
    <xf numFmtId="167" fontId="0" fillId="0" borderId="24" xfId="0" applyNumberFormat="1" applyBorder="1"/>
    <xf numFmtId="9" fontId="0" fillId="0" borderId="16" xfId="2" applyFont="1" applyBorder="1"/>
    <xf numFmtId="9" fontId="0" fillId="0" borderId="17" xfId="2" applyFont="1" applyBorder="1"/>
    <xf numFmtId="9" fontId="0" fillId="0" borderId="18" xfId="2" applyFont="1" applyBorder="1"/>
    <xf numFmtId="167" fontId="0" fillId="0" borderId="19" xfId="0" applyNumberFormat="1" applyBorder="1"/>
    <xf numFmtId="167" fontId="0" fillId="0" borderId="20" xfId="0" applyNumberFormat="1" applyBorder="1"/>
    <xf numFmtId="167" fontId="0" fillId="0" borderId="21" xfId="0" applyNumberFormat="1" applyBorder="1"/>
    <xf numFmtId="0" fontId="3" fillId="2" borderId="3" xfId="0" applyFont="1" applyFill="1" applyBorder="1"/>
    <xf numFmtId="0" fontId="4" fillId="2" borderId="3" xfId="0" applyFont="1" applyFill="1" applyBorder="1"/>
    <xf numFmtId="0" fontId="3" fillId="2" borderId="13" xfId="0" applyFont="1" applyFill="1" applyBorder="1" applyAlignment="1">
      <alignment wrapText="1"/>
    </xf>
    <xf numFmtId="0" fontId="3" fillId="2" borderId="16" xfId="0" applyFont="1" applyFill="1" applyBorder="1"/>
    <xf numFmtId="0" fontId="3" fillId="2" borderId="17" xfId="0" applyFont="1" applyFill="1" applyBorder="1"/>
    <xf numFmtId="0" fontId="3" fillId="2" borderId="18" xfId="0" applyFont="1" applyFill="1" applyBorder="1"/>
    <xf numFmtId="0" fontId="3" fillId="2" borderId="2" xfId="0" applyFont="1" applyFill="1" applyBorder="1"/>
    <xf numFmtId="164" fontId="0" fillId="0" borderId="13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0" fontId="0" fillId="2" borderId="4" xfId="0" applyFill="1" applyBorder="1"/>
    <xf numFmtId="0" fontId="0" fillId="0" borderId="7" xfId="0" applyBorder="1"/>
    <xf numFmtId="9" fontId="1" fillId="0" borderId="4" xfId="2" applyFont="1" applyBorder="1"/>
    <xf numFmtId="0" fontId="3" fillId="0" borderId="7" xfId="0" applyFont="1" applyBorder="1"/>
    <xf numFmtId="0" fontId="0" fillId="2" borderId="9" xfId="0" applyFill="1" applyBorder="1"/>
    <xf numFmtId="168" fontId="0" fillId="0" borderId="12" xfId="2" applyNumberFormat="1" applyFont="1" applyBorder="1"/>
    <xf numFmtId="168" fontId="0" fillId="0" borderId="9" xfId="2" applyNumberFormat="1" applyFont="1" applyBorder="1"/>
    <xf numFmtId="0" fontId="3" fillId="0" borderId="8" xfId="0" applyFont="1" applyBorder="1"/>
    <xf numFmtId="0" fontId="3" fillId="0" borderId="2" xfId="0" applyFont="1" applyBorder="1"/>
    <xf numFmtId="164" fontId="3" fillId="0" borderId="5" xfId="0" applyNumberFormat="1" applyFont="1" applyBorder="1"/>
    <xf numFmtId="3" fontId="3" fillId="0" borderId="8" xfId="0" applyNumberFormat="1" applyFont="1" applyBorder="1"/>
    <xf numFmtId="0" fontId="3" fillId="0" borderId="4" xfId="0" applyFont="1" applyBorder="1" applyAlignment="1">
      <alignment horizontal="center" vertical="center" wrapText="1"/>
    </xf>
    <xf numFmtId="0" fontId="0" fillId="0" borderId="20" xfId="0" applyFill="1" applyBorder="1" applyAlignment="1">
      <alignment horizontal="center"/>
    </xf>
    <xf numFmtId="3" fontId="5" fillId="0" borderId="6" xfId="0" applyNumberFormat="1" applyFont="1" applyBorder="1"/>
    <xf numFmtId="9" fontId="1" fillId="0" borderId="7" xfId="2" applyFont="1" applyBorder="1"/>
    <xf numFmtId="166" fontId="0" fillId="0" borderId="22" xfId="1" applyNumberFormat="1" applyFont="1" applyBorder="1"/>
    <xf numFmtId="166" fontId="0" fillId="0" borderId="23" xfId="1" applyNumberFormat="1" applyFont="1" applyBorder="1"/>
    <xf numFmtId="166" fontId="0" fillId="0" borderId="24" xfId="1" applyNumberFormat="1" applyFont="1" applyBorder="1"/>
    <xf numFmtId="166" fontId="3" fillId="0" borderId="16" xfId="1" applyNumberFormat="1" applyFont="1" applyBorder="1"/>
    <xf numFmtId="166" fontId="3" fillId="0" borderId="17" xfId="1" applyNumberFormat="1" applyFont="1" applyBorder="1"/>
    <xf numFmtId="166" fontId="3" fillId="0" borderId="18" xfId="1" applyNumberFormat="1" applyFont="1" applyBorder="1"/>
    <xf numFmtId="166" fontId="3" fillId="0" borderId="22" xfId="1" applyNumberFormat="1" applyFont="1" applyBorder="1"/>
    <xf numFmtId="166" fontId="3" fillId="0" borderId="23" xfId="1" applyNumberFormat="1" applyFont="1" applyBorder="1"/>
    <xf numFmtId="166" fontId="3" fillId="0" borderId="24" xfId="1" applyNumberFormat="1" applyFont="1" applyBorder="1"/>
    <xf numFmtId="166" fontId="0" fillId="0" borderId="1" xfId="1" applyNumberFormat="1" applyFont="1" applyBorder="1"/>
    <xf numFmtId="166" fontId="0" fillId="0" borderId="25" xfId="1" applyNumberFormat="1" applyFont="1" applyBorder="1"/>
    <xf numFmtId="166" fontId="0" fillId="0" borderId="26" xfId="1" applyNumberFormat="1" applyFont="1" applyBorder="1"/>
    <xf numFmtId="166" fontId="0" fillId="0" borderId="27" xfId="1" applyNumberFormat="1" applyFont="1" applyBorder="1"/>
    <xf numFmtId="166" fontId="3" fillId="0" borderId="2" xfId="1" applyNumberFormat="1" applyFont="1" applyBorder="1"/>
    <xf numFmtId="166" fontId="3" fillId="0" borderId="8" xfId="1" applyNumberFormat="1" applyFont="1" applyBorder="1"/>
    <xf numFmtId="166" fontId="3" fillId="0" borderId="5" xfId="1" applyNumberFormat="1" applyFont="1" applyBorder="1"/>
    <xf numFmtId="166" fontId="3" fillId="0" borderId="10" xfId="1" applyNumberFormat="1" applyFont="1" applyBorder="1"/>
    <xf numFmtId="166" fontId="0" fillId="0" borderId="14" xfId="1" applyNumberFormat="1" applyFont="1" applyBorder="1"/>
    <xf numFmtId="166" fontId="3" fillId="0" borderId="15" xfId="1" applyNumberFormat="1" applyFont="1" applyBorder="1"/>
    <xf numFmtId="3" fontId="3" fillId="0" borderId="8" xfId="1" applyNumberFormat="1" applyFont="1" applyBorder="1"/>
    <xf numFmtId="3" fontId="0" fillId="0" borderId="19" xfId="1" applyNumberFormat="1" applyFont="1" applyBorder="1"/>
    <xf numFmtId="3" fontId="0" fillId="0" borderId="20" xfId="1" applyNumberFormat="1" applyFont="1" applyBorder="1"/>
    <xf numFmtId="3" fontId="0" fillId="0" borderId="21" xfId="1" applyNumberFormat="1" applyFont="1" applyBorder="1"/>
    <xf numFmtId="0" fontId="6" fillId="0" borderId="8" xfId="0" applyFont="1" applyBorder="1"/>
    <xf numFmtId="0" fontId="0" fillId="0" borderId="8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3" fontId="4" fillId="0" borderId="0" xfId="0" applyNumberFormat="1" applyFont="1" applyAlignment="1">
      <alignment horizontal="right"/>
    </xf>
    <xf numFmtId="0" fontId="3" fillId="3" borderId="10" xfId="0" applyFont="1" applyFill="1" applyBorder="1"/>
    <xf numFmtId="3" fontId="5" fillId="3" borderId="11" xfId="0" applyNumberFormat="1" applyFont="1" applyFill="1" applyBorder="1"/>
    <xf numFmtId="0" fontId="5" fillId="3" borderId="11" xfId="0" applyFont="1" applyFill="1" applyBorder="1"/>
    <xf numFmtId="166" fontId="3" fillId="3" borderId="10" xfId="1" applyNumberFormat="1" applyFont="1" applyFill="1" applyBorder="1"/>
    <xf numFmtId="9" fontId="3" fillId="3" borderId="12" xfId="2" applyFont="1" applyFill="1" applyBorder="1"/>
    <xf numFmtId="166" fontId="3" fillId="3" borderId="1" xfId="1" applyNumberFormat="1" applyFont="1" applyFill="1" applyBorder="1"/>
    <xf numFmtId="0" fontId="7" fillId="0" borderId="0" xfId="0" applyFont="1" applyFill="1" applyBorder="1"/>
    <xf numFmtId="0" fontId="2" fillId="0" borderId="0" xfId="0" applyFont="1"/>
    <xf numFmtId="0" fontId="8" fillId="0" borderId="0" xfId="0" applyFont="1"/>
    <xf numFmtId="0" fontId="9" fillId="0" borderId="8" xfId="0" applyFont="1" applyBorder="1"/>
    <xf numFmtId="0" fontId="2" fillId="0" borderId="9" xfId="0" applyFont="1" applyBorder="1"/>
    <xf numFmtId="3" fontId="10" fillId="0" borderId="14" xfId="0" applyNumberFormat="1" applyFont="1" applyBorder="1" applyAlignment="1">
      <alignment wrapText="1"/>
    </xf>
    <xf numFmtId="3" fontId="10" fillId="0" borderId="19" xfId="0" applyNumberFormat="1" applyFont="1" applyBorder="1" applyAlignment="1">
      <alignment wrapText="1"/>
    </xf>
    <xf numFmtId="3" fontId="10" fillId="0" borderId="20" xfId="0" applyNumberFormat="1" applyFont="1" applyBorder="1" applyAlignment="1">
      <alignment wrapText="1"/>
    </xf>
    <xf numFmtId="3" fontId="10" fillId="0" borderId="21" xfId="0" applyNumberFormat="1" applyFont="1" applyBorder="1" applyAlignment="1">
      <alignment wrapText="1"/>
    </xf>
    <xf numFmtId="0" fontId="2" fillId="0" borderId="2" xfId="0" applyFont="1" applyBorder="1"/>
    <xf numFmtId="0" fontId="8" fillId="0" borderId="3" xfId="0" applyFont="1" applyBorder="1"/>
    <xf numFmtId="166" fontId="9" fillId="0" borderId="2" xfId="1" applyNumberFormat="1" applyFont="1" applyBorder="1"/>
    <xf numFmtId="0" fontId="2" fillId="0" borderId="4" xfId="0" applyFont="1" applyBorder="1"/>
    <xf numFmtId="3" fontId="2" fillId="0" borderId="13" xfId="0" applyNumberFormat="1" applyFont="1" applyBorder="1"/>
    <xf numFmtId="166" fontId="2" fillId="0" borderId="16" xfId="1" applyNumberFormat="1" applyFont="1" applyBorder="1"/>
    <xf numFmtId="166" fontId="2" fillId="0" borderId="17" xfId="1" applyNumberFormat="1" applyFont="1" applyBorder="1"/>
    <xf numFmtId="0" fontId="2" fillId="0" borderId="8" xfId="0" applyFont="1" applyBorder="1"/>
    <xf numFmtId="0" fontId="8" fillId="0" borderId="0" xfId="0" applyFont="1" applyBorder="1"/>
    <xf numFmtId="166" fontId="9" fillId="0" borderId="8" xfId="1" applyNumberFormat="1" applyFont="1" applyBorder="1"/>
    <xf numFmtId="3" fontId="2" fillId="0" borderId="14" xfId="0" applyNumberFormat="1" applyFont="1" applyBorder="1"/>
    <xf numFmtId="166" fontId="2" fillId="0" borderId="19" xfId="1" applyNumberFormat="1" applyFont="1" applyBorder="1"/>
    <xf numFmtId="166" fontId="2" fillId="0" borderId="20" xfId="1" applyNumberFormat="1" applyFont="1" applyBorder="1"/>
    <xf numFmtId="166" fontId="2" fillId="0" borderId="21" xfId="1" applyNumberFormat="1" applyFont="1" applyBorder="1"/>
    <xf numFmtId="0" fontId="2" fillId="0" borderId="5" xfId="0" applyFont="1" applyBorder="1"/>
    <xf numFmtId="0" fontId="8" fillId="0" borderId="6" xfId="0" applyFont="1" applyBorder="1"/>
    <xf numFmtId="166" fontId="9" fillId="0" borderId="5" xfId="1" applyNumberFormat="1" applyFont="1" applyBorder="1"/>
    <xf numFmtId="0" fontId="2" fillId="0" borderId="7" xfId="0" applyFont="1" applyBorder="1"/>
    <xf numFmtId="3" fontId="2" fillId="0" borderId="15" xfId="0" applyNumberFormat="1" applyFont="1" applyBorder="1"/>
    <xf numFmtId="165" fontId="2" fillId="0" borderId="22" xfId="1" applyNumberFormat="1" applyFont="1" applyBorder="1"/>
    <xf numFmtId="165" fontId="2" fillId="0" borderId="23" xfId="1" applyNumberFormat="1" applyFont="1" applyBorder="1"/>
    <xf numFmtId="165" fontId="2" fillId="0" borderId="24" xfId="1" applyNumberFormat="1" applyFont="1" applyBorder="1"/>
    <xf numFmtId="0" fontId="11" fillId="0" borderId="0" xfId="0" applyFont="1"/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showGridLines="0" tabSelected="1" topLeftCell="A13" workbookViewId="0">
      <selection activeCell="I21" sqref="I21"/>
    </sheetView>
  </sheetViews>
  <sheetFormatPr defaultColWidth="11.42578125" defaultRowHeight="12.75"/>
  <cols>
    <col min="1" max="1" width="34" customWidth="1"/>
    <col min="2" max="2" width="11.42578125" style="12"/>
    <col min="3" max="3" width="15.28515625" style="12" bestFit="1" customWidth="1"/>
    <col min="4" max="4" width="14.85546875" style="1" customWidth="1"/>
    <col min="5" max="5" width="7.140625" customWidth="1"/>
    <col min="6" max="15" width="11.5703125" customWidth="1"/>
  </cols>
  <sheetData>
    <row r="1" spans="1:15" ht="18">
      <c r="A1" s="162" t="s">
        <v>58</v>
      </c>
    </row>
    <row r="4" spans="1:15" ht="29.25" customHeight="1">
      <c r="D4" s="29" t="s">
        <v>28</v>
      </c>
      <c r="E4" s="94" t="s">
        <v>48</v>
      </c>
      <c r="F4" s="40" t="s">
        <v>34</v>
      </c>
      <c r="G4" s="45" t="s">
        <v>0</v>
      </c>
      <c r="H4" s="46" t="s">
        <v>1</v>
      </c>
      <c r="I4" s="46" t="s">
        <v>2</v>
      </c>
      <c r="J4" s="46" t="s">
        <v>3</v>
      </c>
      <c r="K4" s="46" t="s">
        <v>4</v>
      </c>
      <c r="L4" s="46" t="s">
        <v>5</v>
      </c>
      <c r="M4" s="46" t="s">
        <v>8</v>
      </c>
      <c r="N4" s="46" t="s">
        <v>7</v>
      </c>
      <c r="O4" s="47" t="s">
        <v>6</v>
      </c>
    </row>
    <row r="5" spans="1:15" ht="20.100000000000001" customHeight="1">
      <c r="A5" s="78" t="s">
        <v>45</v>
      </c>
      <c r="B5" s="73"/>
      <c r="C5" s="73"/>
      <c r="D5" s="78"/>
      <c r="E5" s="83"/>
      <c r="F5" s="74"/>
      <c r="G5" s="75"/>
      <c r="H5" s="76"/>
      <c r="I5" s="76"/>
      <c r="J5" s="76"/>
      <c r="K5" s="76"/>
      <c r="L5" s="76"/>
      <c r="M5" s="76"/>
      <c r="N5" s="76"/>
      <c r="O5" s="77"/>
    </row>
    <row r="6" spans="1:15">
      <c r="A6" s="8" t="s">
        <v>9</v>
      </c>
      <c r="B6" s="17"/>
      <c r="C6" s="17"/>
      <c r="D6" s="90"/>
      <c r="E6" s="32"/>
      <c r="F6" s="33"/>
      <c r="G6" s="51" t="s">
        <v>11</v>
      </c>
      <c r="H6" s="52" t="s">
        <v>11</v>
      </c>
      <c r="I6" s="52" t="s">
        <v>11</v>
      </c>
      <c r="J6" s="52" t="s">
        <v>11</v>
      </c>
      <c r="K6" s="52" t="s">
        <v>10</v>
      </c>
      <c r="L6" s="95" t="s">
        <v>10</v>
      </c>
      <c r="M6" s="95" t="s">
        <v>10</v>
      </c>
      <c r="N6" s="95" t="s">
        <v>10</v>
      </c>
      <c r="O6" s="53" t="s">
        <v>11</v>
      </c>
    </row>
    <row r="7" spans="1:15">
      <c r="A7" s="4" t="s">
        <v>12</v>
      </c>
      <c r="B7" s="13"/>
      <c r="C7" s="13"/>
      <c r="D7" s="91"/>
      <c r="E7" s="5"/>
      <c r="F7" s="34"/>
      <c r="G7" s="54" t="s">
        <v>13</v>
      </c>
      <c r="H7" s="55" t="s">
        <v>14</v>
      </c>
      <c r="I7" s="55" t="s">
        <v>15</v>
      </c>
      <c r="J7" s="55" t="s">
        <v>14</v>
      </c>
      <c r="K7" s="55" t="s">
        <v>15</v>
      </c>
      <c r="L7" s="55" t="s">
        <v>13</v>
      </c>
      <c r="M7" s="55" t="s">
        <v>15</v>
      </c>
      <c r="N7" s="55" t="s">
        <v>15</v>
      </c>
      <c r="O7" s="56" t="s">
        <v>13</v>
      </c>
    </row>
    <row r="8" spans="1:15">
      <c r="A8" s="6"/>
      <c r="B8" s="14"/>
      <c r="C8" s="14"/>
      <c r="D8" s="92">
        <f>SUM(G8:O8)</f>
        <v>21</v>
      </c>
      <c r="E8" s="84"/>
      <c r="F8" s="35"/>
      <c r="G8" s="57">
        <v>5</v>
      </c>
      <c r="H8" s="58">
        <v>1</v>
      </c>
      <c r="I8" s="58">
        <v>1.5</v>
      </c>
      <c r="J8" s="58">
        <v>1</v>
      </c>
      <c r="K8" s="58">
        <v>2.5</v>
      </c>
      <c r="L8" s="58">
        <v>3</v>
      </c>
      <c r="M8" s="58">
        <v>2</v>
      </c>
      <c r="N8" s="58">
        <v>2</v>
      </c>
      <c r="O8" s="59">
        <v>3</v>
      </c>
    </row>
    <row r="9" spans="1:15">
      <c r="A9" s="4" t="s">
        <v>47</v>
      </c>
      <c r="B9" s="13" t="s">
        <v>16</v>
      </c>
      <c r="C9" s="13"/>
      <c r="D9" s="91"/>
      <c r="E9" s="5"/>
      <c r="F9" s="79"/>
      <c r="G9" s="80">
        <v>7</v>
      </c>
      <c r="H9" s="81">
        <v>7</v>
      </c>
      <c r="I9" s="81">
        <v>7</v>
      </c>
      <c r="J9" s="81">
        <v>7</v>
      </c>
      <c r="K9" s="81">
        <v>12</v>
      </c>
      <c r="L9" s="81">
        <v>12</v>
      </c>
      <c r="M9" s="81">
        <v>12</v>
      </c>
      <c r="N9" s="81">
        <v>4.5</v>
      </c>
      <c r="O9" s="82">
        <v>4.5</v>
      </c>
    </row>
    <row r="10" spans="1:15">
      <c r="A10" s="8" t="s">
        <v>26</v>
      </c>
      <c r="B10" s="17"/>
      <c r="C10" s="17"/>
      <c r="D10" s="90"/>
      <c r="E10" s="32"/>
      <c r="F10" s="36"/>
      <c r="G10" s="60">
        <v>3671</v>
      </c>
      <c r="H10" s="61">
        <v>648</v>
      </c>
      <c r="I10" s="61">
        <v>478</v>
      </c>
      <c r="J10" s="61">
        <v>191</v>
      </c>
      <c r="K10" s="61">
        <v>7176</v>
      </c>
      <c r="L10" s="61">
        <v>428</v>
      </c>
      <c r="M10" s="61">
        <v>201</v>
      </c>
      <c r="N10" s="61">
        <v>122</v>
      </c>
      <c r="O10" s="62">
        <v>633</v>
      </c>
    </row>
    <row r="11" spans="1:15">
      <c r="A11" t="s">
        <v>22</v>
      </c>
      <c r="B11" s="12" t="s">
        <v>19</v>
      </c>
      <c r="D11" s="93">
        <f>SUM(F11:O11)</f>
        <v>2334</v>
      </c>
      <c r="E11" s="32"/>
      <c r="F11" s="36"/>
      <c r="G11" s="60">
        <v>330</v>
      </c>
      <c r="H11" s="61">
        <v>177</v>
      </c>
      <c r="I11" s="61">
        <v>64</v>
      </c>
      <c r="J11" s="61">
        <v>66</v>
      </c>
      <c r="K11" s="61">
        <v>424</v>
      </c>
      <c r="L11">
        <v>70</v>
      </c>
      <c r="M11" s="61">
        <v>214</v>
      </c>
      <c r="N11" s="61">
        <v>74</v>
      </c>
      <c r="O11" s="62">
        <v>915</v>
      </c>
    </row>
    <row r="12" spans="1:15">
      <c r="A12" t="s">
        <v>23</v>
      </c>
      <c r="B12" s="12" t="s">
        <v>19</v>
      </c>
      <c r="D12" s="90"/>
      <c r="E12" s="32"/>
      <c r="F12" s="36"/>
      <c r="G12" s="60"/>
      <c r="H12" s="61"/>
      <c r="I12" s="61"/>
      <c r="J12" s="61"/>
      <c r="K12" s="61">
        <v>250</v>
      </c>
      <c r="L12" s="61"/>
      <c r="M12" s="61"/>
      <c r="N12" s="61">
        <f>200-N11</f>
        <v>126</v>
      </c>
      <c r="O12" s="62"/>
    </row>
    <row r="13" spans="1:15" s="132" customFormat="1" ht="22.5">
      <c r="A13" s="132" t="s">
        <v>24</v>
      </c>
      <c r="B13" s="133"/>
      <c r="C13" s="133"/>
      <c r="D13" s="134"/>
      <c r="E13" s="135"/>
      <c r="F13" s="136"/>
      <c r="G13" s="137"/>
      <c r="H13" s="138"/>
      <c r="I13" s="138"/>
      <c r="J13" s="138"/>
      <c r="K13" s="138"/>
      <c r="L13" s="138" t="s">
        <v>25</v>
      </c>
      <c r="M13" s="138"/>
      <c r="N13" s="138" t="s">
        <v>21</v>
      </c>
      <c r="O13" s="139" t="s">
        <v>59</v>
      </c>
    </row>
    <row r="14" spans="1:15" s="132" customFormat="1">
      <c r="A14" s="140" t="s">
        <v>49</v>
      </c>
      <c r="B14" s="141" t="s">
        <v>20</v>
      </c>
      <c r="C14" s="141"/>
      <c r="D14" s="142">
        <f>SUM(F14:O14)</f>
        <v>4905</v>
      </c>
      <c r="E14" s="143"/>
      <c r="F14" s="144"/>
      <c r="G14" s="145">
        <v>1382</v>
      </c>
      <c r="H14" s="146">
        <v>742</v>
      </c>
      <c r="I14" s="146">
        <v>0</v>
      </c>
      <c r="J14" s="146">
        <f>2940/12</f>
        <v>245</v>
      </c>
      <c r="K14" s="146">
        <v>1776</v>
      </c>
      <c r="L14" s="146">
        <v>0</v>
      </c>
      <c r="M14" s="146">
        <v>760</v>
      </c>
      <c r="N14" s="146">
        <v>0</v>
      </c>
      <c r="O14" s="146">
        <v>0</v>
      </c>
    </row>
    <row r="15" spans="1:15" s="132" customFormat="1">
      <c r="A15" s="147"/>
      <c r="B15" s="148" t="s">
        <v>50</v>
      </c>
      <c r="C15" s="148"/>
      <c r="D15" s="149">
        <f>SUM(F15:O15)</f>
        <v>58860</v>
      </c>
      <c r="E15" s="135"/>
      <c r="F15" s="150"/>
      <c r="G15" s="151">
        <f t="shared" ref="G15:O15" si="0">G14*12</f>
        <v>16584</v>
      </c>
      <c r="H15" s="152">
        <f t="shared" si="0"/>
        <v>8904</v>
      </c>
      <c r="I15" s="152">
        <f t="shared" si="0"/>
        <v>0</v>
      </c>
      <c r="J15" s="152">
        <f t="shared" si="0"/>
        <v>2940</v>
      </c>
      <c r="K15" s="152">
        <f t="shared" si="0"/>
        <v>21312</v>
      </c>
      <c r="L15" s="152">
        <f t="shared" si="0"/>
        <v>0</v>
      </c>
      <c r="M15" s="152">
        <f t="shared" si="0"/>
        <v>9120</v>
      </c>
      <c r="N15" s="152">
        <f t="shared" si="0"/>
        <v>0</v>
      </c>
      <c r="O15" s="153">
        <f t="shared" si="0"/>
        <v>0</v>
      </c>
    </row>
    <row r="16" spans="1:15" s="132" customFormat="1">
      <c r="A16" s="154"/>
      <c r="B16" s="155" t="s">
        <v>42</v>
      </c>
      <c r="C16" s="155"/>
      <c r="D16" s="156"/>
      <c r="E16" s="157"/>
      <c r="F16" s="158"/>
      <c r="G16" s="159">
        <f t="shared" ref="G16:O16" si="1">G14/G11</f>
        <v>4.1878787878787875</v>
      </c>
      <c r="H16" s="160">
        <f t="shared" si="1"/>
        <v>4.1920903954802258</v>
      </c>
      <c r="I16" s="160">
        <f t="shared" si="1"/>
        <v>0</v>
      </c>
      <c r="J16" s="160">
        <f t="shared" si="1"/>
        <v>3.7121212121212119</v>
      </c>
      <c r="K16" s="160">
        <f t="shared" si="1"/>
        <v>4.1886792452830193</v>
      </c>
      <c r="L16" s="160">
        <f t="shared" si="1"/>
        <v>0</v>
      </c>
      <c r="M16" s="160">
        <f t="shared" si="1"/>
        <v>3.5514018691588785</v>
      </c>
      <c r="N16" s="160">
        <f t="shared" si="1"/>
        <v>0</v>
      </c>
      <c r="O16" s="161">
        <f t="shared" si="1"/>
        <v>0</v>
      </c>
    </row>
    <row r="17" spans="1:15" ht="33" customHeight="1">
      <c r="A17" s="131" t="s">
        <v>57</v>
      </c>
      <c r="D17" s="11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20.100000000000001" customHeight="1">
      <c r="A18" s="72" t="s">
        <v>46</v>
      </c>
      <c r="B18" s="73"/>
      <c r="C18" s="73"/>
      <c r="D18" s="78"/>
      <c r="E18" s="83"/>
      <c r="F18" s="74"/>
      <c r="G18" s="75"/>
      <c r="H18" s="76"/>
      <c r="I18" s="76"/>
      <c r="J18" s="76"/>
      <c r="K18" s="76"/>
      <c r="L18" s="76"/>
      <c r="M18" s="76"/>
      <c r="N18" s="76"/>
      <c r="O18" s="77"/>
    </row>
    <row r="19" spans="1:15">
      <c r="A19" s="7" t="s">
        <v>27</v>
      </c>
      <c r="B19" s="17" t="s">
        <v>52</v>
      </c>
      <c r="C19" s="17"/>
      <c r="D19" s="117">
        <v>95000</v>
      </c>
      <c r="E19" s="31"/>
      <c r="F19" s="36"/>
      <c r="G19" s="118">
        <f>$D19/SUM($G8:$O8)*G8</f>
        <v>22619.047619047618</v>
      </c>
      <c r="H19" s="119">
        <f t="shared" ref="H19:O19" si="2">$D19/SUM($G8:$O8)*H8</f>
        <v>4523.8095238095239</v>
      </c>
      <c r="I19" s="119">
        <f t="shared" si="2"/>
        <v>6785.7142857142862</v>
      </c>
      <c r="J19" s="119">
        <f t="shared" si="2"/>
        <v>4523.8095238095239</v>
      </c>
      <c r="K19" s="119">
        <f t="shared" si="2"/>
        <v>11309.523809523809</v>
      </c>
      <c r="L19" s="119">
        <f t="shared" si="2"/>
        <v>13571.428571428572</v>
      </c>
      <c r="M19" s="119">
        <f t="shared" si="2"/>
        <v>9047.6190476190477</v>
      </c>
      <c r="N19" s="119">
        <f t="shared" si="2"/>
        <v>9047.6190476190477</v>
      </c>
      <c r="O19" s="120">
        <f t="shared" si="2"/>
        <v>13571.428571428572</v>
      </c>
    </row>
    <row r="20" spans="1:15">
      <c r="A20" s="6" t="s">
        <v>17</v>
      </c>
      <c r="B20" s="15">
        <v>20</v>
      </c>
      <c r="C20" s="14"/>
      <c r="D20" s="113">
        <f>SUM(F20:O20)</f>
        <v>1900000.0000000005</v>
      </c>
      <c r="E20" s="84"/>
      <c r="F20" s="38"/>
      <c r="G20" s="98">
        <f t="shared" ref="G20:O20" si="3">G19*$B20</f>
        <v>452380.95238095237</v>
      </c>
      <c r="H20" s="99">
        <f t="shared" si="3"/>
        <v>90476.190476190473</v>
      </c>
      <c r="I20" s="99">
        <f t="shared" si="3"/>
        <v>135714.28571428574</v>
      </c>
      <c r="J20" s="99">
        <f t="shared" si="3"/>
        <v>90476.190476190473</v>
      </c>
      <c r="K20" s="99">
        <f t="shared" si="3"/>
        <v>226190.47619047618</v>
      </c>
      <c r="L20" s="99">
        <f t="shared" si="3"/>
        <v>271428.57142857148</v>
      </c>
      <c r="M20" s="99">
        <f t="shared" si="3"/>
        <v>180952.38095238095</v>
      </c>
      <c r="N20" s="99">
        <f t="shared" si="3"/>
        <v>180952.38095238095</v>
      </c>
      <c r="O20" s="100">
        <f t="shared" si="3"/>
        <v>271428.57142857148</v>
      </c>
    </row>
    <row r="21" spans="1:15">
      <c r="A21" s="4" t="s">
        <v>68</v>
      </c>
      <c r="B21" s="13" t="s">
        <v>67</v>
      </c>
      <c r="C21" s="13"/>
      <c r="D21" s="91"/>
      <c r="E21" s="10"/>
      <c r="F21" s="42"/>
      <c r="G21" s="66">
        <v>0.05</v>
      </c>
      <c r="H21" s="67">
        <v>1</v>
      </c>
      <c r="I21" s="67">
        <v>0.05</v>
      </c>
      <c r="J21" s="67">
        <v>0.05</v>
      </c>
      <c r="K21" s="67">
        <v>0.2</v>
      </c>
      <c r="L21" s="67">
        <v>0.2</v>
      </c>
      <c r="M21" s="67">
        <v>0.2</v>
      </c>
      <c r="N21" s="67">
        <v>0.2</v>
      </c>
      <c r="O21" s="68">
        <v>0.05</v>
      </c>
    </row>
    <row r="22" spans="1:15">
      <c r="A22" s="6"/>
      <c r="B22" s="14" t="s">
        <v>18</v>
      </c>
      <c r="C22" s="14"/>
      <c r="D22" s="22"/>
      <c r="E22" s="84"/>
      <c r="F22" s="38"/>
      <c r="G22" s="98">
        <f t="shared" ref="G22:O22" si="4">G20*G21</f>
        <v>22619.047619047618</v>
      </c>
      <c r="H22" s="99">
        <f t="shared" si="4"/>
        <v>90476.190476190473</v>
      </c>
      <c r="I22" s="99">
        <f t="shared" si="4"/>
        <v>6785.7142857142871</v>
      </c>
      <c r="J22" s="99">
        <f t="shared" si="4"/>
        <v>4523.8095238095239</v>
      </c>
      <c r="K22" s="99">
        <f t="shared" si="4"/>
        <v>45238.095238095237</v>
      </c>
      <c r="L22" s="99">
        <f t="shared" si="4"/>
        <v>54285.714285714297</v>
      </c>
      <c r="M22" s="99">
        <f t="shared" si="4"/>
        <v>36190.476190476191</v>
      </c>
      <c r="N22" s="99">
        <f t="shared" si="4"/>
        <v>36190.476190476191</v>
      </c>
      <c r="O22" s="100">
        <f t="shared" si="4"/>
        <v>13571.428571428574</v>
      </c>
    </row>
    <row r="23" spans="1:15">
      <c r="A23" s="25" t="s">
        <v>35</v>
      </c>
      <c r="B23" s="26" t="s">
        <v>43</v>
      </c>
      <c r="C23" s="26"/>
      <c r="D23" s="111">
        <f>SUM(F23:O23)</f>
        <v>2209880.9523809524</v>
      </c>
      <c r="E23" s="85">
        <f>D23/D$23</f>
        <v>1</v>
      </c>
      <c r="F23" s="39"/>
      <c r="G23" s="101">
        <f>+G20+G22</f>
        <v>475000</v>
      </c>
      <c r="H23" s="102">
        <f t="shared" ref="H23:O23" si="5">+H20+H22</f>
        <v>180952.38095238095</v>
      </c>
      <c r="I23" s="102">
        <f>+I20+I22</f>
        <v>142500.00000000003</v>
      </c>
      <c r="J23" s="102">
        <f t="shared" si="5"/>
        <v>95000</v>
      </c>
      <c r="K23" s="102">
        <f t="shared" si="5"/>
        <v>271428.57142857142</v>
      </c>
      <c r="L23" s="102">
        <f t="shared" si="5"/>
        <v>325714.2857142858</v>
      </c>
      <c r="M23" s="102">
        <f t="shared" si="5"/>
        <v>217142.85714285713</v>
      </c>
      <c r="N23" s="102">
        <f t="shared" si="5"/>
        <v>217142.85714285713</v>
      </c>
      <c r="O23" s="103">
        <f t="shared" si="5"/>
        <v>285000.00000000006</v>
      </c>
    </row>
    <row r="24" spans="1:15">
      <c r="A24" s="22"/>
      <c r="B24" s="23" t="s">
        <v>44</v>
      </c>
      <c r="C24" s="23"/>
      <c r="D24" s="22"/>
      <c r="E24" s="86"/>
      <c r="F24" s="43"/>
      <c r="G24" s="104">
        <f t="shared" ref="G24:O24" si="6">G23/G11</f>
        <v>1439.3939393939395</v>
      </c>
      <c r="H24" s="105">
        <f t="shared" si="6"/>
        <v>1022.3298358891579</v>
      </c>
      <c r="I24" s="105">
        <f t="shared" si="6"/>
        <v>2226.5625000000005</v>
      </c>
      <c r="J24" s="105">
        <f t="shared" si="6"/>
        <v>1439.3939393939395</v>
      </c>
      <c r="K24" s="105">
        <f t="shared" si="6"/>
        <v>640.16172506738542</v>
      </c>
      <c r="L24" s="105">
        <f t="shared" si="6"/>
        <v>4653.0612244897975</v>
      </c>
      <c r="M24" s="105">
        <f t="shared" si="6"/>
        <v>1014.6862483311081</v>
      </c>
      <c r="N24" s="105">
        <f t="shared" si="6"/>
        <v>2934.3629343629341</v>
      </c>
      <c r="O24" s="106">
        <f t="shared" si="6"/>
        <v>311.47540983606564</v>
      </c>
    </row>
    <row r="25" spans="1:15">
      <c r="D25" s="90"/>
      <c r="E25" s="32"/>
      <c r="F25" s="36"/>
      <c r="G25" s="60"/>
      <c r="H25" s="61"/>
      <c r="I25" s="61"/>
      <c r="J25" s="61"/>
      <c r="K25" s="61"/>
      <c r="L25" s="61"/>
      <c r="M25" s="61"/>
      <c r="N25" s="61"/>
      <c r="O25" s="62"/>
    </row>
    <row r="26" spans="1:15" ht="20.100000000000001" customHeight="1">
      <c r="A26" s="27" t="s">
        <v>29</v>
      </c>
      <c r="B26" s="28"/>
      <c r="C26" s="28"/>
      <c r="D26" s="30"/>
      <c r="E26" s="87"/>
      <c r="F26" s="41"/>
      <c r="G26" s="48"/>
      <c r="H26" s="49"/>
      <c r="I26" s="49"/>
      <c r="J26" s="49"/>
      <c r="K26" s="49"/>
      <c r="L26" s="49"/>
      <c r="M26" s="49"/>
      <c r="N26" s="49"/>
      <c r="O26" s="50"/>
    </row>
    <row r="27" spans="1:15">
      <c r="A27" s="121" t="s">
        <v>51</v>
      </c>
      <c r="B27" s="16"/>
      <c r="C27" s="17"/>
      <c r="D27" s="90"/>
      <c r="E27" s="32"/>
      <c r="F27" s="44"/>
      <c r="G27" s="69"/>
      <c r="H27" s="70"/>
      <c r="I27" s="70"/>
      <c r="J27" s="70"/>
      <c r="K27" s="70"/>
      <c r="L27" s="70"/>
      <c r="M27" s="70"/>
      <c r="N27" s="70"/>
      <c r="O27" s="71"/>
    </row>
    <row r="28" spans="1:15">
      <c r="A28" s="122" t="s">
        <v>31</v>
      </c>
      <c r="B28" s="16">
        <v>4.5</v>
      </c>
      <c r="C28" s="17" t="s">
        <v>16</v>
      </c>
      <c r="D28" s="90"/>
      <c r="E28" s="32"/>
      <c r="F28" s="44">
        <v>6</v>
      </c>
      <c r="G28" s="69">
        <v>5</v>
      </c>
      <c r="H28" s="70">
        <v>1</v>
      </c>
      <c r="I28" s="70">
        <v>1</v>
      </c>
      <c r="J28" s="70">
        <v>1</v>
      </c>
      <c r="K28" s="70">
        <v>3</v>
      </c>
      <c r="L28" s="70">
        <v>3</v>
      </c>
      <c r="M28" s="70">
        <v>3</v>
      </c>
      <c r="N28" s="70">
        <v>3</v>
      </c>
      <c r="O28" s="71">
        <v>4</v>
      </c>
    </row>
    <row r="29" spans="1:15">
      <c r="A29" s="122" t="s">
        <v>33</v>
      </c>
      <c r="B29" s="16">
        <v>2.5</v>
      </c>
      <c r="C29" s="17" t="s">
        <v>16</v>
      </c>
      <c r="D29" s="90"/>
      <c r="E29" s="32"/>
      <c r="F29" s="44">
        <v>3</v>
      </c>
      <c r="G29" s="69">
        <v>4</v>
      </c>
      <c r="H29" s="70">
        <v>1</v>
      </c>
      <c r="I29" s="70">
        <v>1</v>
      </c>
      <c r="J29" s="70">
        <v>1</v>
      </c>
      <c r="K29" s="70">
        <v>3</v>
      </c>
      <c r="L29" s="70">
        <v>3</v>
      </c>
      <c r="M29" s="70">
        <v>3</v>
      </c>
      <c r="N29" s="70">
        <v>0</v>
      </c>
      <c r="O29" s="71">
        <v>0</v>
      </c>
    </row>
    <row r="30" spans="1:15">
      <c r="A30" s="123" t="s">
        <v>32</v>
      </c>
      <c r="B30" s="18">
        <v>5</v>
      </c>
      <c r="C30" s="14" t="s">
        <v>16</v>
      </c>
      <c r="D30" s="22"/>
      <c r="E30" s="84"/>
      <c r="F30" s="37">
        <v>1</v>
      </c>
      <c r="G30" s="63">
        <v>0</v>
      </c>
      <c r="H30" s="64">
        <v>0</v>
      </c>
      <c r="I30" s="64">
        <v>0</v>
      </c>
      <c r="J30" s="64">
        <v>0</v>
      </c>
      <c r="K30" s="64">
        <v>1.5</v>
      </c>
      <c r="L30" s="64">
        <v>1.5</v>
      </c>
      <c r="M30" s="64">
        <v>1.5</v>
      </c>
      <c r="N30" s="64">
        <v>0</v>
      </c>
      <c r="O30" s="65">
        <v>0</v>
      </c>
    </row>
    <row r="31" spans="1:15">
      <c r="A31" s="9" t="s">
        <v>30</v>
      </c>
      <c r="B31" s="19">
        <v>3000</v>
      </c>
      <c r="C31" s="20" t="s">
        <v>18</v>
      </c>
      <c r="D31" s="114">
        <f>SUM(F31:O31)</f>
        <v>630000</v>
      </c>
      <c r="E31" s="88">
        <f>D31/D$23</f>
        <v>0.28508323008134462</v>
      </c>
      <c r="F31" s="107">
        <f t="shared" ref="F31:O31" si="7">$B31*(($B28*F28)+($B29*F29)+($B30*F30))</f>
        <v>118500</v>
      </c>
      <c r="G31" s="108">
        <f t="shared" si="7"/>
        <v>97500</v>
      </c>
      <c r="H31" s="109">
        <f t="shared" si="7"/>
        <v>21000</v>
      </c>
      <c r="I31" s="109">
        <f t="shared" si="7"/>
        <v>21000</v>
      </c>
      <c r="J31" s="109">
        <f t="shared" si="7"/>
        <v>21000</v>
      </c>
      <c r="K31" s="109">
        <f t="shared" si="7"/>
        <v>85500</v>
      </c>
      <c r="L31" s="109">
        <f t="shared" si="7"/>
        <v>85500</v>
      </c>
      <c r="M31" s="109">
        <f t="shared" si="7"/>
        <v>85500</v>
      </c>
      <c r="N31" s="109">
        <f t="shared" si="7"/>
        <v>40500</v>
      </c>
      <c r="O31" s="110">
        <f t="shared" si="7"/>
        <v>54000</v>
      </c>
    </row>
    <row r="32" spans="1:15">
      <c r="B32" s="3"/>
      <c r="D32" s="90"/>
      <c r="E32" s="32"/>
      <c r="F32" s="36"/>
      <c r="G32" s="2"/>
      <c r="H32" s="2"/>
      <c r="I32" s="2"/>
      <c r="J32" s="2"/>
      <c r="K32" s="2"/>
      <c r="L32" s="2"/>
      <c r="M32" s="2"/>
      <c r="N32" s="2"/>
      <c r="O32" s="2"/>
    </row>
    <row r="33" spans="1:15">
      <c r="A33" t="s">
        <v>53</v>
      </c>
      <c r="B33" s="124">
        <v>1100</v>
      </c>
      <c r="C33" s="12" t="s">
        <v>69</v>
      </c>
      <c r="D33" s="112">
        <f>SUM(F33:O33)</f>
        <v>440000</v>
      </c>
      <c r="E33" s="89">
        <f t="shared" ref="E33:E41" si="8">D33/D$23</f>
        <v>0.19910574799332004</v>
      </c>
      <c r="F33" s="115">
        <f>B33*400</f>
        <v>440000</v>
      </c>
      <c r="G33" s="3" t="s">
        <v>55</v>
      </c>
      <c r="H33" s="2"/>
      <c r="I33" s="2"/>
      <c r="J33" s="2"/>
      <c r="K33" s="2"/>
      <c r="L33" s="2"/>
      <c r="M33" s="2"/>
      <c r="N33" s="2"/>
      <c r="O33" s="2"/>
    </row>
    <row r="34" spans="1:15">
      <c r="A34" t="s">
        <v>54</v>
      </c>
      <c r="B34" s="124">
        <v>300</v>
      </c>
      <c r="C34" s="12" t="s">
        <v>69</v>
      </c>
      <c r="D34" s="112">
        <f t="shared" ref="D34:D38" si="9">SUM(F34:O34)</f>
        <v>540000</v>
      </c>
      <c r="E34" s="89">
        <f t="shared" si="8"/>
        <v>0.24435705435543822</v>
      </c>
      <c r="F34" s="115">
        <f>B34*1800</f>
        <v>540000</v>
      </c>
      <c r="G34" s="3" t="s">
        <v>56</v>
      </c>
      <c r="H34" s="2"/>
      <c r="I34" s="2"/>
      <c r="J34" s="2"/>
      <c r="K34" s="2"/>
      <c r="L34" s="2"/>
      <c r="M34" s="2"/>
      <c r="N34" s="2"/>
      <c r="O34" s="2"/>
    </row>
    <row r="35" spans="1:15">
      <c r="A35" t="s">
        <v>36</v>
      </c>
      <c r="B35" s="21">
        <v>0.15</v>
      </c>
      <c r="C35" s="3" t="s">
        <v>39</v>
      </c>
      <c r="D35" s="112">
        <f t="shared" si="9"/>
        <v>147000</v>
      </c>
      <c r="E35" s="89">
        <f t="shared" si="8"/>
        <v>6.6519420352313743E-2</v>
      </c>
      <c r="F35" s="115">
        <f>(F33+F34)*B35</f>
        <v>147000</v>
      </c>
      <c r="G35" s="2"/>
      <c r="H35" s="2"/>
      <c r="I35" s="2"/>
      <c r="J35" s="2"/>
      <c r="K35" s="2"/>
      <c r="L35" s="2"/>
      <c r="M35" s="2"/>
      <c r="N35" s="2"/>
      <c r="O35" s="2"/>
    </row>
    <row r="36" spans="1:15">
      <c r="A36" t="s">
        <v>38</v>
      </c>
      <c r="B36" s="3"/>
      <c r="D36" s="112">
        <f t="shared" si="9"/>
        <v>100000</v>
      </c>
      <c r="E36" s="89">
        <f t="shared" si="8"/>
        <v>4.5251306362118195E-2</v>
      </c>
      <c r="F36" s="115">
        <v>100000</v>
      </c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t="s">
        <v>41</v>
      </c>
      <c r="B37" s="3"/>
      <c r="D37" s="112">
        <f t="shared" si="9"/>
        <v>90000</v>
      </c>
      <c r="E37" s="89">
        <f t="shared" si="8"/>
        <v>4.0726175725906373E-2</v>
      </c>
      <c r="F37" s="115">
        <v>90000</v>
      </c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t="s">
        <v>37</v>
      </c>
      <c r="B38" s="3"/>
      <c r="D38" s="112">
        <f t="shared" si="9"/>
        <v>60000</v>
      </c>
      <c r="E38" s="89">
        <f t="shared" si="8"/>
        <v>2.7150783817270915E-2</v>
      </c>
      <c r="F38" s="115">
        <v>60000</v>
      </c>
      <c r="G38" s="2"/>
      <c r="H38" s="2"/>
      <c r="I38" s="2"/>
      <c r="J38" s="2"/>
      <c r="K38" s="2"/>
      <c r="L38" s="2"/>
      <c r="M38" s="2"/>
      <c r="N38" s="2"/>
      <c r="O38" s="2"/>
    </row>
    <row r="39" spans="1:15">
      <c r="A39" t="s">
        <v>63</v>
      </c>
      <c r="B39" s="3" t="s">
        <v>65</v>
      </c>
      <c r="D39" s="112">
        <f>15000*3</f>
        <v>45000</v>
      </c>
      <c r="E39" s="89">
        <f t="shared" si="8"/>
        <v>2.0363087862953187E-2</v>
      </c>
      <c r="F39" s="115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t="s">
        <v>62</v>
      </c>
      <c r="B40" s="3" t="s">
        <v>61</v>
      </c>
      <c r="D40" s="112">
        <f>6*5000</f>
        <v>30000</v>
      </c>
      <c r="E40" s="89">
        <f t="shared" si="8"/>
        <v>1.3575391908635458E-2</v>
      </c>
      <c r="F40" s="115"/>
      <c r="G40" s="2"/>
      <c r="H40" s="2"/>
      <c r="I40" s="2"/>
      <c r="J40" s="2"/>
      <c r="K40" s="2"/>
      <c r="L40" s="2"/>
      <c r="M40" s="2"/>
      <c r="N40" s="2"/>
      <c r="O40" s="2"/>
    </row>
    <row r="41" spans="1:15">
      <c r="A41" t="s">
        <v>60</v>
      </c>
      <c r="B41" s="3" t="s">
        <v>66</v>
      </c>
      <c r="D41" s="112">
        <f>9628*12</f>
        <v>115536</v>
      </c>
      <c r="E41" s="89">
        <f t="shared" si="8"/>
        <v>5.2281549318536874E-2</v>
      </c>
      <c r="F41" s="115"/>
      <c r="G41" s="2"/>
      <c r="H41" s="2"/>
      <c r="I41" s="2"/>
      <c r="J41" s="2"/>
      <c r="K41" s="2"/>
      <c r="L41" s="2"/>
      <c r="M41" s="2"/>
      <c r="N41" s="2"/>
      <c r="O41" s="2"/>
    </row>
    <row r="42" spans="1:15" s="1" customFormat="1">
      <c r="A42" s="24" t="s">
        <v>40</v>
      </c>
      <c r="B42" s="96"/>
      <c r="C42" s="23"/>
      <c r="D42" s="113">
        <f>SUM(D31:D41)</f>
        <v>2197536</v>
      </c>
      <c r="E42" s="97">
        <f t="shared" ref="E42:E43" si="10">D42/D$23</f>
        <v>0.99441374777783764</v>
      </c>
      <c r="F42" s="116"/>
      <c r="G42" s="11"/>
      <c r="H42" s="11"/>
      <c r="I42" s="11"/>
      <c r="J42" s="11"/>
      <c r="K42" s="11"/>
      <c r="L42" s="11"/>
      <c r="M42" s="11"/>
      <c r="N42" s="11"/>
      <c r="O42" s="11"/>
    </row>
    <row r="43" spans="1:15" ht="17.25" customHeight="1">
      <c r="A43" s="125" t="s">
        <v>64</v>
      </c>
      <c r="B43" s="126"/>
      <c r="C43" s="127"/>
      <c r="D43" s="128">
        <f>D23-D42</f>
        <v>12344.952380952425</v>
      </c>
      <c r="E43" s="129">
        <f t="shared" si="10"/>
        <v>5.5862522221623856E-3</v>
      </c>
      <c r="F43" s="130"/>
      <c r="G43" s="2"/>
      <c r="H43" s="2"/>
      <c r="I43" s="2"/>
      <c r="J43" s="2"/>
      <c r="K43" s="2"/>
      <c r="L43" s="2"/>
      <c r="M43" s="2"/>
      <c r="N43" s="2"/>
      <c r="O43" s="2"/>
    </row>
    <row r="44" spans="1:15">
      <c r="D44" s="11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>
      <c r="A45" s="12"/>
      <c r="D45" s="11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>
      <c r="D46" s="11"/>
      <c r="F46" s="2"/>
      <c r="G46" s="2"/>
      <c r="H46" s="2"/>
      <c r="I46" s="2"/>
      <c r="J46" s="2"/>
      <c r="K46" s="2"/>
      <c r="L46" s="2"/>
      <c r="M46" s="2"/>
      <c r="N46" s="2"/>
      <c r="O46" s="2"/>
    </row>
  </sheetData>
  <sheetProtection algorithmName="SHA-512" hashValue="2D4399i1CoFlgDu2Fy9h7munGOLUxSkjz2+gLHM9i9OIfBG6cvs35mL9OAWFAXQQhEh4c7OyX1lBj6H/10sJeg==" saltValue="rBmd2Ebz6ztXxqjo+Nq9MQ==" spinCount="100000" sheet="1" objects="1" scenarios="1"/>
  <pageMargins left="0.39" right="0.37" top="0.78740157480314965" bottom="0.78740157480314965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Riegler</dc:creator>
  <cp:lastModifiedBy>Filippi, Valeria</cp:lastModifiedBy>
  <cp:lastPrinted>2017-10-12T12:44:51Z</cp:lastPrinted>
  <dcterms:created xsi:type="dcterms:W3CDTF">2017-10-12T06:23:17Z</dcterms:created>
  <dcterms:modified xsi:type="dcterms:W3CDTF">2019-06-25T09:38:05Z</dcterms:modified>
</cp:coreProperties>
</file>